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44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3" authorId="0">
      <text>
        <r>
          <rPr>
            <b/>
            <sz val="8"/>
            <rFont val="Tahoma"/>
            <family val="0"/>
          </rPr>
          <t>Jeffrey1681:</t>
        </r>
        <r>
          <rPr>
            <sz val="8"/>
            <rFont val="Tahoma"/>
            <family val="0"/>
          </rPr>
          <t xml:space="preserve">
Enter the date/time that you last updated the resources here</t>
        </r>
      </text>
    </comment>
    <comment ref="D9" authorId="0">
      <text>
        <r>
          <rPr>
            <b/>
            <sz val="8"/>
            <rFont val="Tahoma"/>
            <family val="0"/>
          </rPr>
          <t>Jeffrey1681:</t>
        </r>
        <r>
          <rPr>
            <sz val="8"/>
            <rFont val="Tahoma"/>
            <family val="0"/>
          </rPr>
          <t xml:space="preserve">
Enter your current resources here</t>
        </r>
      </text>
    </comment>
    <comment ref="I7" authorId="0">
      <text>
        <r>
          <rPr>
            <b/>
            <sz val="8"/>
            <rFont val="Tahoma"/>
            <family val="0"/>
          </rPr>
          <t>Jeffrey1681:</t>
        </r>
        <r>
          <rPr>
            <sz val="8"/>
            <rFont val="Tahoma"/>
            <family val="0"/>
          </rPr>
          <t xml:space="preserve">
Resources needed for the next upgrade of this building/upgrade/unit</t>
        </r>
      </text>
    </comment>
    <comment ref="T7" authorId="0">
      <text>
        <r>
          <rPr>
            <b/>
            <sz val="8"/>
            <rFont val="Tahoma"/>
            <family val="0"/>
          </rPr>
          <t>Jeffrey1681:</t>
        </r>
        <r>
          <rPr>
            <sz val="8"/>
            <rFont val="Tahoma"/>
            <family val="0"/>
          </rPr>
          <t xml:space="preserve">
# of hours needed until you can build this upgrade at your current mine levels</t>
        </r>
      </text>
    </comment>
    <comment ref="U7" authorId="0">
      <text>
        <r>
          <rPr>
            <b/>
            <sz val="8"/>
            <rFont val="Tahoma"/>
            <family val="0"/>
          </rPr>
          <t>Jeffrey1681:</t>
        </r>
        <r>
          <rPr>
            <sz val="8"/>
            <rFont val="Tahoma"/>
            <family val="0"/>
          </rPr>
          <t xml:space="preserve">
Date/time when you will be able to build the next upgrade of this building/tech/unit</t>
        </r>
      </text>
    </comment>
    <comment ref="D3" authorId="0">
      <text>
        <r>
          <rPr>
            <b/>
            <sz val="8"/>
            <rFont val="Tahoma"/>
            <family val="0"/>
          </rPr>
          <t>Jeffrey1681:</t>
        </r>
        <r>
          <rPr>
            <sz val="8"/>
            <rFont val="Tahoma"/>
            <family val="0"/>
          </rPr>
          <t xml:space="preserve">
These are the current attack/defense values of your island.</t>
        </r>
      </text>
    </comment>
    <comment ref="F7" authorId="0">
      <text>
        <r>
          <rPr>
            <b/>
            <sz val="8"/>
            <rFont val="Tahoma"/>
            <family val="2"/>
          </rPr>
          <t>Jeffrey1681:</t>
        </r>
        <r>
          <rPr>
            <sz val="8"/>
            <rFont val="Tahoma"/>
            <family val="0"/>
          </rPr>
          <t xml:space="preserve">
Hours until your storehouse is full</t>
        </r>
      </text>
    </comment>
    <comment ref="G7" authorId="0">
      <text>
        <r>
          <rPr>
            <b/>
            <sz val="8"/>
            <rFont val="Tahoma"/>
            <family val="0"/>
          </rPr>
          <t>Jeffrey1681:</t>
        </r>
        <r>
          <rPr>
            <sz val="8"/>
            <rFont val="Tahoma"/>
            <family val="0"/>
          </rPr>
          <t xml:space="preserve">
Date/time when your storehouse will be full</t>
        </r>
      </text>
    </comment>
    <comment ref="C15" authorId="0">
      <text>
        <r>
          <rPr>
            <b/>
            <sz val="8"/>
            <rFont val="Tahoma"/>
            <family val="0"/>
          </rPr>
          <t>Jeffrey1681:</t>
        </r>
        <r>
          <rPr>
            <sz val="8"/>
            <rFont val="Tahoma"/>
            <family val="0"/>
          </rPr>
          <t xml:space="preserve">
Storehouse capacity</t>
        </r>
      </text>
    </comment>
    <comment ref="C16" authorId="0">
      <text>
        <r>
          <rPr>
            <b/>
            <sz val="8"/>
            <rFont val="Tahoma"/>
            <family val="0"/>
          </rPr>
          <t>Jeffrey1681:</t>
        </r>
        <r>
          <rPr>
            <sz val="8"/>
            <rFont val="Tahoma"/>
            <family val="0"/>
          </rPr>
          <t xml:space="preserve">
Tower viewing distance</t>
        </r>
      </text>
    </comment>
    <comment ref="C17" authorId="0">
      <text>
        <r>
          <rPr>
            <b/>
            <sz val="8"/>
            <rFont val="Tahoma"/>
            <family val="0"/>
          </rPr>
          <t>Jeffrey1681:</t>
        </r>
        <r>
          <rPr>
            <sz val="8"/>
            <rFont val="Tahoma"/>
            <family val="0"/>
          </rPr>
          <t xml:space="preserve">
Wall defense value</t>
        </r>
      </text>
    </comment>
    <comment ref="C9" authorId="0">
      <text>
        <r>
          <rPr>
            <b/>
            <sz val="8"/>
            <rFont val="Tahoma"/>
            <family val="0"/>
          </rPr>
          <t>Jeffrey1681:</t>
        </r>
        <r>
          <rPr>
            <sz val="8"/>
            <rFont val="Tahoma"/>
            <family val="0"/>
          </rPr>
          <t xml:space="preserve">
Mine production rate (per hour)</t>
        </r>
      </text>
    </comment>
    <comment ref="I19" authorId="0">
      <text>
        <r>
          <rPr>
            <b/>
            <sz val="8"/>
            <rFont val="Tahoma"/>
            <family val="0"/>
          </rPr>
          <t>Jeffrey1681:</t>
        </r>
        <r>
          <rPr>
            <sz val="8"/>
            <rFont val="Tahoma"/>
            <family val="0"/>
          </rPr>
          <t xml:space="preserve">
Resources needed for the next upgrade of this building/upgrade/unit</t>
        </r>
      </text>
    </comment>
    <comment ref="T19" authorId="0">
      <text>
        <r>
          <rPr>
            <b/>
            <sz val="8"/>
            <rFont val="Tahoma"/>
            <family val="0"/>
          </rPr>
          <t>Jeffrey1681:</t>
        </r>
        <r>
          <rPr>
            <sz val="8"/>
            <rFont val="Tahoma"/>
            <family val="0"/>
          </rPr>
          <t xml:space="preserve">
# of hours needed until you can build this upgrade at your current mine levels</t>
        </r>
      </text>
    </comment>
    <comment ref="U19" authorId="0">
      <text>
        <r>
          <rPr>
            <b/>
            <sz val="8"/>
            <rFont val="Tahoma"/>
            <family val="0"/>
          </rPr>
          <t>Jeffrey1681:</t>
        </r>
        <r>
          <rPr>
            <sz val="8"/>
            <rFont val="Tahoma"/>
            <family val="0"/>
          </rPr>
          <t xml:space="preserve">
Date/time when you will be able to build the next upgrade of this building/tech/unit</t>
        </r>
      </text>
    </comment>
    <comment ref="I26" authorId="0">
      <text>
        <r>
          <rPr>
            <b/>
            <sz val="8"/>
            <rFont val="Tahoma"/>
            <family val="0"/>
          </rPr>
          <t>Jeffrey1681:</t>
        </r>
        <r>
          <rPr>
            <sz val="8"/>
            <rFont val="Tahoma"/>
            <family val="0"/>
          </rPr>
          <t xml:space="preserve">
Resources needed for the next upgrade of this building/upgrade/unit</t>
        </r>
      </text>
    </comment>
    <comment ref="T26" authorId="0">
      <text>
        <r>
          <rPr>
            <b/>
            <sz val="8"/>
            <rFont val="Tahoma"/>
            <family val="0"/>
          </rPr>
          <t>Jeffrey1681:</t>
        </r>
        <r>
          <rPr>
            <sz val="8"/>
            <rFont val="Tahoma"/>
            <family val="0"/>
          </rPr>
          <t xml:space="preserve">
# of hours needed until you can build this upgrade at your current mine levels</t>
        </r>
      </text>
    </comment>
    <comment ref="U26" authorId="0">
      <text>
        <r>
          <rPr>
            <b/>
            <sz val="8"/>
            <rFont val="Tahoma"/>
            <family val="0"/>
          </rPr>
          <t>Jeffrey1681:</t>
        </r>
        <r>
          <rPr>
            <sz val="8"/>
            <rFont val="Tahoma"/>
            <family val="0"/>
          </rPr>
          <t xml:space="preserve">
Date/time when you will be able to build the next upgrade of this building/tech/unit</t>
        </r>
      </text>
    </comment>
  </commentList>
</comments>
</file>

<file path=xl/sharedStrings.xml><?xml version="1.0" encoding="utf-8"?>
<sst xmlns="http://schemas.openxmlformats.org/spreadsheetml/2006/main" count="53" uniqueCount="41">
  <si>
    <t>Building</t>
  </si>
  <si>
    <t>Level</t>
  </si>
  <si>
    <t>Info</t>
  </si>
  <si>
    <t>Updated</t>
  </si>
  <si>
    <t>Calc</t>
  </si>
  <si>
    <t>Next</t>
  </si>
  <si>
    <t>Time</t>
  </si>
  <si>
    <t>When?</t>
  </si>
  <si>
    <t>House</t>
  </si>
  <si>
    <t>Gold</t>
  </si>
  <si>
    <t>Stone</t>
  </si>
  <si>
    <t>Lumber</t>
  </si>
  <si>
    <t>Lab</t>
  </si>
  <si>
    <t>Barracks</t>
  </si>
  <si>
    <t>Harbor</t>
  </si>
  <si>
    <t>Storehouse</t>
  </si>
  <si>
    <t>Tower</t>
  </si>
  <si>
    <t>Wall</t>
  </si>
  <si>
    <t>Spear</t>
  </si>
  <si>
    <t>Shield</t>
  </si>
  <si>
    <t>Sail</t>
  </si>
  <si>
    <t>Bow</t>
  </si>
  <si>
    <t>Catapult</t>
  </si>
  <si>
    <t>Stonethrower</t>
  </si>
  <si>
    <t>Attack</t>
  </si>
  <si>
    <t>Defense</t>
  </si>
  <si>
    <t>Total</t>
  </si>
  <si>
    <t># Hours</t>
  </si>
  <si>
    <t>Hours till full</t>
  </si>
  <si>
    <t>Date full</t>
  </si>
  <si>
    <t>Technology</t>
  </si>
  <si>
    <t>Spearfighter</t>
  </si>
  <si>
    <t>Archer</t>
  </si>
  <si>
    <t>Small warship</t>
  </si>
  <si>
    <t>Small merchant ship</t>
  </si>
  <si>
    <t>Large warship</t>
  </si>
  <si>
    <t>Large merchant ship</t>
  </si>
  <si>
    <t>Colonization ship</t>
  </si>
  <si>
    <t>Troops</t>
  </si>
  <si>
    <t>Last Updated</t>
  </si>
  <si>
    <t>Military Stats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</si>
</sst>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m/d/yy\ h:mm\ AM/PM;@"/>
    <numFmt numFmtId="174" formatCode="0.00000"/>
    <numFmt numFmtId="175" formatCode="[$-409]dddd\,\ mmmm\ dd\,\ yyyy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2" borderId="1" xfId="0" applyFont="1" applyFill="1" applyBorder="1" applyAlignment="1">
      <alignment/>
    </xf>
    <xf numFmtId="1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173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172" fontId="0" fillId="2" borderId="0" xfId="0" applyNumberFormat="1" applyFill="1" applyBorder="1" applyAlignment="1">
      <alignment/>
    </xf>
    <xf numFmtId="173" fontId="0" fillId="2" borderId="2" xfId="0" applyNumberFormat="1" applyFill="1" applyBorder="1" applyAlignment="1">
      <alignment/>
    </xf>
    <xf numFmtId="0" fontId="0" fillId="3" borderId="1" xfId="0" applyFont="1" applyFill="1" applyBorder="1" applyAlignment="1">
      <alignment/>
    </xf>
    <xf numFmtId="1" fontId="0" fillId="3" borderId="0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173" fontId="0" fillId="3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172" fontId="0" fillId="3" borderId="0" xfId="0" applyNumberFormat="1" applyFill="1" applyBorder="1" applyAlignment="1">
      <alignment/>
    </xf>
    <xf numFmtId="173" fontId="0" fillId="3" borderId="2" xfId="0" applyNumberFormat="1" applyFill="1" applyBorder="1" applyAlignment="1">
      <alignment/>
    </xf>
    <xf numFmtId="0" fontId="0" fillId="4" borderId="1" xfId="0" applyFont="1" applyFill="1" applyBorder="1" applyAlignment="1">
      <alignment/>
    </xf>
    <xf numFmtId="1" fontId="0" fillId="4" borderId="0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173" fontId="0" fillId="4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172" fontId="0" fillId="4" borderId="0" xfId="0" applyNumberFormat="1" applyFill="1" applyBorder="1" applyAlignment="1">
      <alignment/>
    </xf>
    <xf numFmtId="173" fontId="0" fillId="4" borderId="2" xfId="0" applyNumberForma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1" fontId="0" fillId="5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172" fontId="0" fillId="5" borderId="0" xfId="0" applyNumberFormat="1" applyFill="1" applyBorder="1" applyAlignment="1">
      <alignment/>
    </xf>
    <xf numFmtId="173" fontId="0" fillId="5" borderId="2" xfId="0" applyNumberFormat="1" applyFill="1" applyBorder="1" applyAlignment="1">
      <alignment/>
    </xf>
    <xf numFmtId="1" fontId="0" fillId="5" borderId="4" xfId="0" applyNumberFormat="1" applyFill="1" applyBorder="1" applyAlignment="1">
      <alignment/>
    </xf>
    <xf numFmtId="0" fontId="0" fillId="5" borderId="4" xfId="0" applyFill="1" applyBorder="1" applyAlignment="1">
      <alignment/>
    </xf>
    <xf numFmtId="172" fontId="0" fillId="5" borderId="4" xfId="0" applyNumberFormat="1" applyFill="1" applyBorder="1" applyAlignment="1">
      <alignment/>
    </xf>
    <xf numFmtId="173" fontId="0" fillId="5" borderId="5" xfId="0" applyNumberFormat="1" applyFill="1" applyBorder="1" applyAlignment="1">
      <alignment/>
    </xf>
    <xf numFmtId="0" fontId="0" fillId="5" borderId="6" xfId="0" applyFill="1" applyBorder="1" applyAlignment="1">
      <alignment/>
    </xf>
    <xf numFmtId="172" fontId="0" fillId="5" borderId="6" xfId="0" applyNumberFormat="1" applyFill="1" applyBorder="1" applyAlignment="1">
      <alignment/>
    </xf>
    <xf numFmtId="173" fontId="0" fillId="5" borderId="7" xfId="0" applyNumberForma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8" xfId="0" applyFill="1" applyBorder="1" applyAlignment="1">
      <alignment/>
    </xf>
    <xf numFmtId="173" fontId="0" fillId="0" borderId="0" xfId="0" applyNumberFormat="1" applyFill="1" applyAlignment="1">
      <alignment/>
    </xf>
    <xf numFmtId="0" fontId="0" fillId="5" borderId="7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3" borderId="11" xfId="0" applyFont="1" applyFill="1" applyBorder="1" applyAlignment="1">
      <alignment/>
    </xf>
    <xf numFmtId="0" fontId="0" fillId="3" borderId="9" xfId="0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73" fontId="0" fillId="6" borderId="13" xfId="0" applyNumberFormat="1" applyFill="1" applyBorder="1" applyAlignment="1" applyProtection="1">
      <alignment/>
      <protection locked="0"/>
    </xf>
    <xf numFmtId="0" fontId="0" fillId="6" borderId="6" xfId="0" applyFill="1" applyBorder="1" applyAlignment="1" applyProtection="1">
      <alignment/>
      <protection locked="0"/>
    </xf>
    <xf numFmtId="0" fontId="0" fillId="6" borderId="0" xfId="0" applyFill="1" applyBorder="1" applyAlignment="1" applyProtection="1">
      <alignment/>
      <protection locked="0"/>
    </xf>
    <xf numFmtId="0" fontId="0" fillId="6" borderId="4" xfId="0" applyFill="1" applyBorder="1" applyAlignment="1" applyProtection="1">
      <alignment/>
      <protection locked="0"/>
    </xf>
    <xf numFmtId="1" fontId="0" fillId="6" borderId="0" xfId="0" applyNumberForma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83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18.00390625" style="0" bestFit="1" customWidth="1"/>
    <col min="2" max="3" width="8.8515625" style="0" customWidth="1"/>
    <col min="4" max="4" width="8.421875" style="0" bestFit="1" customWidth="1"/>
    <col min="5" max="5" width="7.7109375" style="0" customWidth="1"/>
    <col min="6" max="6" width="12.421875" style="0" bestFit="1" customWidth="1"/>
    <col min="7" max="7" width="15.8515625" style="0" bestFit="1" customWidth="1"/>
    <col min="8" max="11" width="8.8515625" style="0" customWidth="1"/>
    <col min="12" max="16" width="9.140625" style="0" hidden="1" customWidth="1"/>
    <col min="17" max="17" width="14.421875" style="0" hidden="1" customWidth="1"/>
    <col min="18" max="19" width="9.140625" style="0" hidden="1" customWidth="1"/>
    <col min="20" max="20" width="8.8515625" style="0" customWidth="1"/>
    <col min="21" max="21" width="16.8515625" style="0" bestFit="1" customWidth="1"/>
    <col min="22" max="22" width="12.00390625" style="0" bestFit="1" customWidth="1"/>
    <col min="23" max="23" width="8.140625" style="0" bestFit="1" customWidth="1"/>
    <col min="24" max="24" width="7.140625" style="0" bestFit="1" customWidth="1"/>
    <col min="25" max="16384" width="8.8515625" style="0" customWidth="1"/>
  </cols>
  <sheetData>
    <row r="1" ht="13.5" thickBot="1"/>
    <row r="2" spans="1:4" ht="13.5" thickBot="1">
      <c r="A2" s="56" t="s">
        <v>39</v>
      </c>
      <c r="B2" s="3"/>
      <c r="C2" s="57" t="s">
        <v>40</v>
      </c>
      <c r="D2" s="58"/>
    </row>
    <row r="3" spans="1:4" ht="13.5" thickBot="1">
      <c r="A3" s="59">
        <f ca="1">NOW()</f>
        <v>39112.946116203704</v>
      </c>
      <c r="B3" s="3"/>
      <c r="C3" s="41" t="s">
        <v>24</v>
      </c>
      <c r="D3" s="43">
        <f>B27*C27+B28*C28+B29*C29+B30*C30+B31*C31+B32*C32+B33*C33+B34*C34+B35*C35+C17</f>
        <v>50</v>
      </c>
    </row>
    <row r="4" spans="1:4" ht="12.75">
      <c r="A4" s="42"/>
      <c r="B4" s="3"/>
      <c r="C4" s="39" t="s">
        <v>25</v>
      </c>
      <c r="D4" s="44">
        <f>B27*D27+B28*D28+B29*D29+B30*D30+B31*D31+B32*D32+B33*D33+B34*D34+B35*D35+C17</f>
        <v>50</v>
      </c>
    </row>
    <row r="5" spans="1:4" ht="13.5" thickBot="1">
      <c r="A5" s="42"/>
      <c r="B5" s="3"/>
      <c r="C5" s="40" t="s">
        <v>26</v>
      </c>
      <c r="D5" s="45">
        <f>SUM(D3:D4)</f>
        <v>100</v>
      </c>
    </row>
    <row r="6" ht="13.5" thickBot="1"/>
    <row r="7" spans="1:21" ht="13.5" thickBot="1">
      <c r="A7" s="51" t="s">
        <v>0</v>
      </c>
      <c r="B7" s="52" t="s">
        <v>1</v>
      </c>
      <c r="C7" s="52" t="s">
        <v>2</v>
      </c>
      <c r="D7" s="52" t="s">
        <v>3</v>
      </c>
      <c r="E7" s="52" t="s">
        <v>4</v>
      </c>
      <c r="F7" s="52" t="s">
        <v>28</v>
      </c>
      <c r="G7" s="52" t="s">
        <v>29</v>
      </c>
      <c r="H7" s="52"/>
      <c r="I7" s="52" t="s">
        <v>5</v>
      </c>
      <c r="J7" s="53"/>
      <c r="K7" s="53"/>
      <c r="L7" s="53"/>
      <c r="M7" s="53"/>
      <c r="N7" s="53"/>
      <c r="O7" s="53"/>
      <c r="P7" s="52" t="s">
        <v>6</v>
      </c>
      <c r="Q7" s="52"/>
      <c r="R7" s="53"/>
      <c r="S7" s="53"/>
      <c r="T7" s="52" t="s">
        <v>27</v>
      </c>
      <c r="U7" s="54" t="s">
        <v>7</v>
      </c>
    </row>
    <row r="8" spans="1:22" ht="12.75">
      <c r="A8" s="38" t="s">
        <v>8</v>
      </c>
      <c r="B8" s="60">
        <v>0</v>
      </c>
      <c r="C8" s="35"/>
      <c r="D8" s="35"/>
      <c r="E8" s="35"/>
      <c r="F8" s="35"/>
      <c r="G8" s="35"/>
      <c r="H8" s="35"/>
      <c r="I8" s="35">
        <f>TRUNC(150*1.2^B8)</f>
        <v>150</v>
      </c>
      <c r="J8" s="35">
        <f>TRUNC(120*1.2^B8)</f>
        <v>120</v>
      </c>
      <c r="K8" s="35">
        <f>TRUNC(90*1.2^B8)</f>
        <v>90</v>
      </c>
      <c r="L8" s="35"/>
      <c r="M8" s="36">
        <f>IF((I8-$D$9)/$C$9&lt;0,0,(I8-$D$9)/$C$9)</f>
        <v>18.75</v>
      </c>
      <c r="N8" s="36">
        <f>IF((J8-$D$10)/$C$10&lt;0,0,(J8-$D$10)/$C$10)</f>
        <v>24</v>
      </c>
      <c r="O8" s="36">
        <f>IF((K8-$D$11)/$C$11&lt;0,0,(K8-$D$11)/$C$11)</f>
        <v>15</v>
      </c>
      <c r="P8" s="36">
        <f>MAX(M8,N8,O8)</f>
        <v>24</v>
      </c>
      <c r="Q8" s="36">
        <f aca="true" t="shared" si="0" ref="Q8:Q17">IF((I8-$E$9)/$C$9&lt;0,0,(I8-$E$9)/$C$9)</f>
        <v>18.75</v>
      </c>
      <c r="R8" s="36">
        <f aca="true" t="shared" si="1" ref="R8:R17">IF((J8-$E$10)/$C$10&lt;0,0,(J8-$E$10)/$C$10)</f>
        <v>24</v>
      </c>
      <c r="S8" s="36">
        <f aca="true" t="shared" si="2" ref="S8:S17">IF((K8-$E$11)/$C$11&lt;0,0,(K8-$E$11)/$C$11)</f>
        <v>15</v>
      </c>
      <c r="T8" s="36">
        <f aca="true" t="shared" si="3" ref="T8:T17">MAX(Q8,R8,S8)</f>
        <v>24</v>
      </c>
      <c r="U8" s="37">
        <f>$A$3+P8/24</f>
        <v>39113.946116203704</v>
      </c>
      <c r="V8" s="1"/>
    </row>
    <row r="9" spans="1:22" ht="12.75">
      <c r="A9" s="4" t="s">
        <v>9</v>
      </c>
      <c r="B9" s="61">
        <v>0</v>
      </c>
      <c r="C9" s="5">
        <f>TRUNC(8*1.2^B9)</f>
        <v>8</v>
      </c>
      <c r="D9" s="63">
        <v>0</v>
      </c>
      <c r="E9" s="5">
        <f ca="1">TRUNC(D9+(NOW()-A$3)*24*C9)</f>
        <v>0</v>
      </c>
      <c r="F9" s="6">
        <f>(C15-E9)/C9</f>
        <v>125</v>
      </c>
      <c r="G9" s="7">
        <f ca="1">NOW()+F9/24</f>
        <v>39118.15444953704</v>
      </c>
      <c r="H9" s="5"/>
      <c r="I9" s="8">
        <f>TRUNC(90*1.2^B9)</f>
        <v>90</v>
      </c>
      <c r="J9" s="8">
        <f>TRUNC(60*1.2^B9)</f>
        <v>60</v>
      </c>
      <c r="K9" s="8">
        <f>TRUNC(60*1.2^B9)</f>
        <v>60</v>
      </c>
      <c r="L9" s="8"/>
      <c r="M9" s="9">
        <f aca="true" t="shared" si="4" ref="M9:M15">IF((I9-$D$9)/$C$9&lt;0,0,(I9-$D$9)/$C$9)</f>
        <v>11.25</v>
      </c>
      <c r="N9" s="9">
        <f aca="true" t="shared" si="5" ref="N9:N15">IF((J9-$D$10)/$C$10&lt;0,0,(J9-$D$10)/$C$10)</f>
        <v>12</v>
      </c>
      <c r="O9" s="9">
        <f aca="true" t="shared" si="6" ref="O9:O15">IF((K9-$D$11)/$C$11&lt;0,0,(K9-$D$11)/$C$11)</f>
        <v>10</v>
      </c>
      <c r="P9" s="9">
        <f aca="true" t="shared" si="7" ref="P9:P15">MAX(M9,N9,O9)</f>
        <v>12</v>
      </c>
      <c r="Q9" s="9">
        <f t="shared" si="0"/>
        <v>11.25</v>
      </c>
      <c r="R9" s="9">
        <f t="shared" si="1"/>
        <v>12</v>
      </c>
      <c r="S9" s="9">
        <f t="shared" si="2"/>
        <v>10</v>
      </c>
      <c r="T9" s="9">
        <f t="shared" si="3"/>
        <v>12</v>
      </c>
      <c r="U9" s="10">
        <f>$A$3+P9/24</f>
        <v>39113.446116203704</v>
      </c>
      <c r="V9" s="2"/>
    </row>
    <row r="10" spans="1:22" ht="12.75">
      <c r="A10" s="11" t="s">
        <v>10</v>
      </c>
      <c r="B10" s="61">
        <v>0</v>
      </c>
      <c r="C10" s="12">
        <f>TRUNC(5*1.2^B10)</f>
        <v>5</v>
      </c>
      <c r="D10" s="63">
        <v>0</v>
      </c>
      <c r="E10" s="12">
        <f ca="1">TRUNC(D10+(NOW()-A$3)*24*C10)</f>
        <v>0</v>
      </c>
      <c r="F10" s="13">
        <f>(C15-E10)/C10</f>
        <v>200</v>
      </c>
      <c r="G10" s="14">
        <f ca="1">NOW()+F10/24</f>
        <v>39121.27944953704</v>
      </c>
      <c r="H10" s="12"/>
      <c r="I10" s="15">
        <f>TRUNC(60*1.2^B10)</f>
        <v>60</v>
      </c>
      <c r="J10" s="15">
        <f>TRUNC(60*1.2^B10)</f>
        <v>60</v>
      </c>
      <c r="K10" s="15">
        <f>TRUNC(60*1.2^B10)</f>
        <v>60</v>
      </c>
      <c r="L10" s="15"/>
      <c r="M10" s="16">
        <f t="shared" si="4"/>
        <v>7.5</v>
      </c>
      <c r="N10" s="16">
        <f t="shared" si="5"/>
        <v>12</v>
      </c>
      <c r="O10" s="16">
        <f t="shared" si="6"/>
        <v>10</v>
      </c>
      <c r="P10" s="16">
        <f t="shared" si="7"/>
        <v>12</v>
      </c>
      <c r="Q10" s="16">
        <f t="shared" si="0"/>
        <v>7.5</v>
      </c>
      <c r="R10" s="16">
        <f t="shared" si="1"/>
        <v>12</v>
      </c>
      <c r="S10" s="16">
        <f t="shared" si="2"/>
        <v>10</v>
      </c>
      <c r="T10" s="16">
        <f t="shared" si="3"/>
        <v>12</v>
      </c>
      <c r="U10" s="17">
        <f>$A$3+P10/24</f>
        <v>39113.446116203704</v>
      </c>
      <c r="V10" s="2"/>
    </row>
    <row r="11" spans="1:22" ht="12.75">
      <c r="A11" s="18" t="s">
        <v>11</v>
      </c>
      <c r="B11" s="61">
        <v>0</v>
      </c>
      <c r="C11" s="19">
        <f>TRUNC(6*1.2^B11)</f>
        <v>6</v>
      </c>
      <c r="D11" s="63">
        <v>0</v>
      </c>
      <c r="E11" s="19">
        <f ca="1">TRUNC(D11+(NOW()-A$3)*24*C11)</f>
        <v>0</v>
      </c>
      <c r="F11" s="20">
        <f>(C15-E11)/C11</f>
        <v>166.66666666666666</v>
      </c>
      <c r="G11" s="21">
        <f ca="1">NOW()+F11/24</f>
        <v>39119.89056064815</v>
      </c>
      <c r="H11" s="19"/>
      <c r="I11" s="22">
        <f>TRUNC(90*1.2^B11)</f>
        <v>90</v>
      </c>
      <c r="J11" s="22">
        <f>TRUNC(70*1.2^B11)</f>
        <v>70</v>
      </c>
      <c r="K11" s="22">
        <f>TRUNC(60*1.2^B11)</f>
        <v>60</v>
      </c>
      <c r="L11" s="22"/>
      <c r="M11" s="23">
        <f t="shared" si="4"/>
        <v>11.25</v>
      </c>
      <c r="N11" s="23">
        <f t="shared" si="5"/>
        <v>14</v>
      </c>
      <c r="O11" s="23">
        <f t="shared" si="6"/>
        <v>10</v>
      </c>
      <c r="P11" s="23">
        <f t="shared" si="7"/>
        <v>14</v>
      </c>
      <c r="Q11" s="23">
        <f t="shared" si="0"/>
        <v>11.25</v>
      </c>
      <c r="R11" s="23">
        <f t="shared" si="1"/>
        <v>14</v>
      </c>
      <c r="S11" s="23">
        <f t="shared" si="2"/>
        <v>10</v>
      </c>
      <c r="T11" s="23">
        <f t="shared" si="3"/>
        <v>14</v>
      </c>
      <c r="U11" s="24">
        <f>$A$3+P11/24</f>
        <v>39113.52944953704</v>
      </c>
      <c r="V11" s="2"/>
    </row>
    <row r="12" spans="1:21" ht="12.75">
      <c r="A12" s="25" t="s">
        <v>12</v>
      </c>
      <c r="B12" s="61">
        <v>0</v>
      </c>
      <c r="C12" s="27"/>
      <c r="D12" s="27"/>
      <c r="E12" s="27"/>
      <c r="F12" s="27"/>
      <c r="G12" s="27"/>
      <c r="H12" s="27"/>
      <c r="I12" s="28">
        <f>TRUNC(150*1.2^B12)</f>
        <v>150</v>
      </c>
      <c r="J12" s="28">
        <f>TRUNC(100*1.2^B12)</f>
        <v>100</v>
      </c>
      <c r="K12" s="28">
        <f>TRUNC(60*1.2^B12)</f>
        <v>60</v>
      </c>
      <c r="L12" s="28"/>
      <c r="M12" s="29">
        <f>IF((I12-$D$9)/$C$9&lt;0,0,(I12-$D$9)/$C$9)</f>
        <v>18.75</v>
      </c>
      <c r="N12" s="29">
        <f>IF((J12-$D$10)/$C$10&lt;0,0,(J12-$D$10)/$C$10)</f>
        <v>20</v>
      </c>
      <c r="O12" s="29">
        <f>IF((K12-$D$11)/$C$11&lt;0,0,(K12-$D$11)/$C$11)</f>
        <v>10</v>
      </c>
      <c r="P12" s="29">
        <f>MAX(M12,N12,O12)</f>
        <v>20</v>
      </c>
      <c r="Q12" s="29">
        <f t="shared" si="0"/>
        <v>18.75</v>
      </c>
      <c r="R12" s="29">
        <f t="shared" si="1"/>
        <v>20</v>
      </c>
      <c r="S12" s="29">
        <f t="shared" si="2"/>
        <v>10</v>
      </c>
      <c r="T12" s="29">
        <f t="shared" si="3"/>
        <v>20</v>
      </c>
      <c r="U12" s="30">
        <f>$A$3+P12/24</f>
        <v>39113.77944953704</v>
      </c>
    </row>
    <row r="13" spans="1:21" ht="12.75">
      <c r="A13" s="25" t="s">
        <v>13</v>
      </c>
      <c r="B13" s="61">
        <v>0</v>
      </c>
      <c r="C13" s="28"/>
      <c r="D13" s="28"/>
      <c r="E13" s="28"/>
      <c r="F13" s="28"/>
      <c r="G13" s="28"/>
      <c r="H13" s="28"/>
      <c r="I13" s="28">
        <f>TRUNC(120*1.2^B13)</f>
        <v>120</v>
      </c>
      <c r="J13" s="28">
        <f>TRUNC(120*1.2^B13)</f>
        <v>120</v>
      </c>
      <c r="K13" s="28">
        <f>TRUNC(120*1.2^B13)</f>
        <v>120</v>
      </c>
      <c r="L13" s="28"/>
      <c r="M13" s="29">
        <f t="shared" si="4"/>
        <v>15</v>
      </c>
      <c r="N13" s="29">
        <f t="shared" si="5"/>
        <v>24</v>
      </c>
      <c r="O13" s="29">
        <f t="shared" si="6"/>
        <v>20</v>
      </c>
      <c r="P13" s="29">
        <f t="shared" si="7"/>
        <v>24</v>
      </c>
      <c r="Q13" s="29">
        <f t="shared" si="0"/>
        <v>15</v>
      </c>
      <c r="R13" s="29">
        <f t="shared" si="1"/>
        <v>24</v>
      </c>
      <c r="S13" s="29">
        <f t="shared" si="2"/>
        <v>20</v>
      </c>
      <c r="T13" s="29">
        <f t="shared" si="3"/>
        <v>24</v>
      </c>
      <c r="U13" s="30">
        <f>$A$3+P13/24</f>
        <v>39113.946116203704</v>
      </c>
    </row>
    <row r="14" spans="1:21" ht="12.75">
      <c r="A14" s="25" t="s">
        <v>14</v>
      </c>
      <c r="B14" s="61">
        <v>0</v>
      </c>
      <c r="C14" s="27"/>
      <c r="D14" s="27"/>
      <c r="E14" s="27"/>
      <c r="F14" s="27"/>
      <c r="G14" s="27"/>
      <c r="H14" s="27"/>
      <c r="I14" s="28">
        <f>TRUNC(150*1.2^B14)</f>
        <v>150</v>
      </c>
      <c r="J14" s="28">
        <f>TRUNC(160*1.2^B14)</f>
        <v>160</v>
      </c>
      <c r="K14" s="28">
        <f>TRUNC(120*1.2^B14)</f>
        <v>120</v>
      </c>
      <c r="L14" s="28"/>
      <c r="M14" s="29">
        <f>IF((I14-$D$9)/$C$9&lt;0,0,(I14-$D$9)/$C$9)</f>
        <v>18.75</v>
      </c>
      <c r="N14" s="29">
        <f>IF((J14-$D$10)/$C$10&lt;0,0,(J14-$D$10)/$C$10)</f>
        <v>32</v>
      </c>
      <c r="O14" s="29">
        <f>IF((K14-$D$11)/$C$11&lt;0,0,(K14-$D$11)/$C$11)</f>
        <v>20</v>
      </c>
      <c r="P14" s="29">
        <f>MAX(M14,N14,O14)</f>
        <v>32</v>
      </c>
      <c r="Q14" s="29">
        <f t="shared" si="0"/>
        <v>18.75</v>
      </c>
      <c r="R14" s="29">
        <f t="shared" si="1"/>
        <v>32</v>
      </c>
      <c r="S14" s="29">
        <f t="shared" si="2"/>
        <v>20</v>
      </c>
      <c r="T14" s="29">
        <f t="shared" si="3"/>
        <v>32</v>
      </c>
      <c r="U14" s="30">
        <f>$A$3+P14/24</f>
        <v>39114.27944953704</v>
      </c>
    </row>
    <row r="15" spans="1:21" ht="12.75">
      <c r="A15" s="25" t="s">
        <v>15</v>
      </c>
      <c r="B15" s="61">
        <v>0</v>
      </c>
      <c r="C15" s="27">
        <f>TRUNC(1000*1.2^B15)</f>
        <v>1000</v>
      </c>
      <c r="D15" s="28"/>
      <c r="E15" s="28"/>
      <c r="F15" s="28"/>
      <c r="G15" s="28"/>
      <c r="H15" s="28"/>
      <c r="I15" s="28">
        <f>TRUNC(90*1.2^B15)</f>
        <v>90</v>
      </c>
      <c r="J15" s="28">
        <f>TRUNC(60*1.2^B15)</f>
        <v>60</v>
      </c>
      <c r="K15" s="28">
        <f>TRUNC(90*1.2^B15)</f>
        <v>90</v>
      </c>
      <c r="L15" s="28"/>
      <c r="M15" s="29">
        <f t="shared" si="4"/>
        <v>11.25</v>
      </c>
      <c r="N15" s="29">
        <f t="shared" si="5"/>
        <v>12</v>
      </c>
      <c r="O15" s="29">
        <f t="shared" si="6"/>
        <v>15</v>
      </c>
      <c r="P15" s="29">
        <f t="shared" si="7"/>
        <v>15</v>
      </c>
      <c r="Q15" s="29">
        <f t="shared" si="0"/>
        <v>11.25</v>
      </c>
      <c r="R15" s="29">
        <f t="shared" si="1"/>
        <v>12</v>
      </c>
      <c r="S15" s="29">
        <f t="shared" si="2"/>
        <v>15</v>
      </c>
      <c r="T15" s="29">
        <f t="shared" si="3"/>
        <v>15</v>
      </c>
      <c r="U15" s="30">
        <f>$A$3+P15/24</f>
        <v>39113.571116203704</v>
      </c>
    </row>
    <row r="16" spans="1:21" ht="12.75">
      <c r="A16" s="25" t="s">
        <v>16</v>
      </c>
      <c r="B16" s="61">
        <v>0</v>
      </c>
      <c r="C16" s="29">
        <f>1.2^B16</f>
        <v>1</v>
      </c>
      <c r="D16" s="27"/>
      <c r="E16" s="27"/>
      <c r="F16" s="27"/>
      <c r="G16" s="27"/>
      <c r="H16" s="27"/>
      <c r="I16" s="28">
        <f>TRUNC(30*1.2^B16)</f>
        <v>30</v>
      </c>
      <c r="J16" s="28">
        <f>TRUNC(90*1.2^B16)</f>
        <v>90</v>
      </c>
      <c r="K16" s="28">
        <f>TRUNC(50*1.2^B16)</f>
        <v>50</v>
      </c>
      <c r="L16" s="28"/>
      <c r="M16" s="29">
        <f>IF((I16-$D$9)/$C$9&lt;0,0,(I16-$D$9)/$C$9)</f>
        <v>3.75</v>
      </c>
      <c r="N16" s="29">
        <f>IF((J16-$D$10)/$C$10&lt;0,0,(J16-$D$10)/$C$10)</f>
        <v>18</v>
      </c>
      <c r="O16" s="29">
        <f>IF((K16-$D$11)/$C$11&lt;0,0,(K16-$D$11)/$C$11)</f>
        <v>8.333333333333334</v>
      </c>
      <c r="P16" s="29">
        <f>MAX(M16,N16,O16)</f>
        <v>18</v>
      </c>
      <c r="Q16" s="29">
        <f t="shared" si="0"/>
        <v>3.75</v>
      </c>
      <c r="R16" s="29">
        <f t="shared" si="1"/>
        <v>18</v>
      </c>
      <c r="S16" s="29">
        <f t="shared" si="2"/>
        <v>8.333333333333334</v>
      </c>
      <c r="T16" s="29">
        <f t="shared" si="3"/>
        <v>18</v>
      </c>
      <c r="U16" s="30">
        <f>$A$3+P16/24</f>
        <v>39113.696116203704</v>
      </c>
    </row>
    <row r="17" spans="1:21" ht="13.5" thickBot="1">
      <c r="A17" s="26" t="s">
        <v>17</v>
      </c>
      <c r="B17" s="62">
        <v>0</v>
      </c>
      <c r="C17" s="31">
        <f>TRUNC(50*1.25^B17)</f>
        <v>50</v>
      </c>
      <c r="D17" s="31"/>
      <c r="E17" s="31"/>
      <c r="F17" s="31"/>
      <c r="G17" s="31"/>
      <c r="H17" s="31"/>
      <c r="I17" s="32">
        <f>TRUNC(100*1.2^B17)</f>
        <v>100</v>
      </c>
      <c r="J17" s="32">
        <f>TRUNC(150*1.2^B17)</f>
        <v>150</v>
      </c>
      <c r="K17" s="32">
        <f>TRUNC(50*1.2^B17)</f>
        <v>50</v>
      </c>
      <c r="L17" s="32"/>
      <c r="M17" s="33">
        <f>IF((I17-$D$9)/$C$9&lt;0,0,(I17-$D$9)/$C$9)</f>
        <v>12.5</v>
      </c>
      <c r="N17" s="33">
        <f>IF((J17-$D$10)/$C$10&lt;0,0,(J17-$D$10)/$C$10)</f>
        <v>30</v>
      </c>
      <c r="O17" s="33">
        <f>IF((K17-$D$11)/$C$11&lt;0,0,(K17-$D$11)/$C$11)</f>
        <v>8.333333333333334</v>
      </c>
      <c r="P17" s="33">
        <f>MAX(M17,N17,O17)</f>
        <v>30</v>
      </c>
      <c r="Q17" s="33">
        <f t="shared" si="0"/>
        <v>12.5</v>
      </c>
      <c r="R17" s="33">
        <f t="shared" si="1"/>
        <v>30</v>
      </c>
      <c r="S17" s="33">
        <f t="shared" si="2"/>
        <v>8.333333333333334</v>
      </c>
      <c r="T17" s="33">
        <f t="shared" si="3"/>
        <v>30</v>
      </c>
      <c r="U17" s="34">
        <f>$A$3+P17/24</f>
        <v>39114.196116203704</v>
      </c>
    </row>
    <row r="18" spans="1:21" ht="13.5" thickBot="1">
      <c r="A18" s="46"/>
      <c r="B18" s="47"/>
      <c r="C18" s="48"/>
      <c r="D18" s="48"/>
      <c r="E18" s="48"/>
      <c r="F18" s="48"/>
      <c r="G18" s="48"/>
      <c r="H18" s="48"/>
      <c r="I18" s="47"/>
      <c r="J18" s="47"/>
      <c r="K18" s="47"/>
      <c r="L18" s="47"/>
      <c r="M18" s="49"/>
      <c r="N18" s="49"/>
      <c r="O18" s="49"/>
      <c r="P18" s="49"/>
      <c r="Q18" s="49"/>
      <c r="R18" s="49"/>
      <c r="S18" s="49"/>
      <c r="T18" s="49"/>
      <c r="U18" s="50"/>
    </row>
    <row r="19" spans="1:21" ht="13.5" thickBot="1">
      <c r="A19" s="51" t="s">
        <v>30</v>
      </c>
      <c r="B19" s="52" t="s">
        <v>1</v>
      </c>
      <c r="C19" s="52" t="s">
        <v>2</v>
      </c>
      <c r="D19" s="53"/>
      <c r="E19" s="53"/>
      <c r="F19" s="53"/>
      <c r="G19" s="53"/>
      <c r="H19" s="53"/>
      <c r="I19" s="52" t="s">
        <v>5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2" t="s">
        <v>27</v>
      </c>
      <c r="U19" s="54" t="s">
        <v>7</v>
      </c>
    </row>
    <row r="20" spans="1:21" ht="12.75">
      <c r="A20" s="25" t="s">
        <v>18</v>
      </c>
      <c r="B20" s="61">
        <v>0</v>
      </c>
      <c r="C20" s="28"/>
      <c r="D20" s="28"/>
      <c r="E20" s="27"/>
      <c r="F20" s="27"/>
      <c r="G20" s="28"/>
      <c r="H20" s="28"/>
      <c r="I20" s="28">
        <f>TRUNC(400*1.2^B20)</f>
        <v>400</v>
      </c>
      <c r="J20" s="28">
        <f>TRUNC(100*1.2^B20)</f>
        <v>100</v>
      </c>
      <c r="K20" s="28">
        <f>TRUNC(250*1.2^B20)</f>
        <v>250</v>
      </c>
      <c r="L20" s="28"/>
      <c r="M20" s="29">
        <f>IF((I20-$D$9)/$C$9&lt;0,0,(I20-$D$9)/$C$9)</f>
        <v>50</v>
      </c>
      <c r="N20" s="29">
        <f>IF((J20-$D$10)/$C$10&lt;0,0,(J20-$D$10)/$C$10)</f>
        <v>20</v>
      </c>
      <c r="O20" s="29">
        <f>IF((K20-$D$11)/$C$11&lt;0,0,(K20-$D$11)/$C$11)</f>
        <v>41.666666666666664</v>
      </c>
      <c r="P20" s="29">
        <f>MAX(M20,N20,O20)</f>
        <v>50</v>
      </c>
      <c r="Q20" s="29">
        <f>IF((I20-$E$9)/$C$9&lt;0,0,(I20-$E$9)/$C$9)</f>
        <v>50</v>
      </c>
      <c r="R20" s="29">
        <f>IF((J20-$E$10)/$C$10&lt;0,0,(J20-$E$10)/$C$10)</f>
        <v>20</v>
      </c>
      <c r="S20" s="29">
        <f>IF((K20-$E$11)/$C$11&lt;0,0,(K20-$E$11)/$C$11)</f>
        <v>41.666666666666664</v>
      </c>
      <c r="T20" s="29">
        <f>MAX(Q20,R20,S20)</f>
        <v>50</v>
      </c>
      <c r="U20" s="30">
        <f>$A$3+P20/24</f>
        <v>39115.02944953704</v>
      </c>
    </row>
    <row r="21" spans="1:21" ht="12.75">
      <c r="A21" s="25" t="s">
        <v>19</v>
      </c>
      <c r="B21" s="61">
        <v>0</v>
      </c>
      <c r="C21" s="28"/>
      <c r="D21" s="28"/>
      <c r="E21" s="28"/>
      <c r="F21" s="28"/>
      <c r="G21" s="28"/>
      <c r="H21" s="28"/>
      <c r="I21" s="28">
        <f>TRUNC(250*1.2^B21)</f>
        <v>250</v>
      </c>
      <c r="J21" s="28">
        <v>0</v>
      </c>
      <c r="K21" s="28">
        <f>TRUNC(150*1.2^B21)</f>
        <v>150</v>
      </c>
      <c r="L21" s="28"/>
      <c r="M21" s="29">
        <f>IF((I21-$D$9)/$C$9&lt;0,0,(I21-$D$9)/$C$9)</f>
        <v>31.25</v>
      </c>
      <c r="N21" s="29">
        <f>IF((J21-$D$10)/$C$10&lt;0,0,(J21-$D$10)/$C$10)</f>
        <v>0</v>
      </c>
      <c r="O21" s="29">
        <f>IF((K21-$D$11)/$C$11&lt;0,0,(K21-$D$11)/$C$11)</f>
        <v>25</v>
      </c>
      <c r="P21" s="29">
        <f>MAX(M21,N21,O21)</f>
        <v>31.25</v>
      </c>
      <c r="Q21" s="29">
        <f>IF((I21-$E$9)/$C$9&lt;0,0,(I21-$E$9)/$C$9)</f>
        <v>31.25</v>
      </c>
      <c r="R21" s="29">
        <f>IF((J21-$E$10)/$C$10&lt;0,0,(J21-$E$10)/$C$10)</f>
        <v>0</v>
      </c>
      <c r="S21" s="29">
        <f>IF((K21-$E$11)/$C$11&lt;0,0,(K21-$E$11)/$C$11)</f>
        <v>25</v>
      </c>
      <c r="T21" s="29">
        <f>MAX(Q21,R21,S21)</f>
        <v>31.25</v>
      </c>
      <c r="U21" s="30">
        <f>$A$3+P21/24</f>
        <v>39114.24819953704</v>
      </c>
    </row>
    <row r="22" spans="1:21" ht="12.75">
      <c r="A22" s="25" t="s">
        <v>20</v>
      </c>
      <c r="B22" s="61">
        <v>0</v>
      </c>
      <c r="C22" s="28">
        <f>TRUNC(0.2*B22)</f>
        <v>0</v>
      </c>
      <c r="D22" s="28"/>
      <c r="E22" s="28"/>
      <c r="F22" s="28"/>
      <c r="G22" s="28"/>
      <c r="H22" s="28"/>
      <c r="I22" s="28">
        <f>TRUNC(350*1.2^B22)</f>
        <v>350</v>
      </c>
      <c r="J22" s="28">
        <v>0</v>
      </c>
      <c r="K22" s="28">
        <f>TRUNC(250*1.2^B22)</f>
        <v>250</v>
      </c>
      <c r="L22" s="28"/>
      <c r="M22" s="29">
        <f>IF((I22-$D$9)/$C$9&lt;0,0,(I22-$D$9)/$C$9)</f>
        <v>43.75</v>
      </c>
      <c r="N22" s="29">
        <f>IF((J22-$D$10)/$C$10&lt;0,0,(J22-$D$10)/$C$10)</f>
        <v>0</v>
      </c>
      <c r="O22" s="29">
        <f>IF((K22-$D$11)/$C$11&lt;0,0,(K22-$D$11)/$C$11)</f>
        <v>41.666666666666664</v>
      </c>
      <c r="P22" s="29">
        <f>MAX(M22,N22,O22)</f>
        <v>43.75</v>
      </c>
      <c r="Q22" s="29">
        <f>IF((I22-$E$9)/$C$9&lt;0,0,(I22-$E$9)/$C$9)</f>
        <v>43.75</v>
      </c>
      <c r="R22" s="29">
        <f>IF((J22-$E$10)/$C$10&lt;0,0,(J22-$E$10)/$C$10)</f>
        <v>0</v>
      </c>
      <c r="S22" s="29">
        <f>IF((K22-$E$11)/$C$11&lt;0,0,(K22-$E$11)/$C$11)</f>
        <v>41.666666666666664</v>
      </c>
      <c r="T22" s="29">
        <f>MAX(Q22,R22,S22)</f>
        <v>43.75</v>
      </c>
      <c r="U22" s="30">
        <f>$A$3+P22/24</f>
        <v>39114.76903287037</v>
      </c>
    </row>
    <row r="23" spans="1:21" ht="12.75">
      <c r="A23" s="39" t="s">
        <v>21</v>
      </c>
      <c r="B23" s="61">
        <v>0</v>
      </c>
      <c r="C23" s="28"/>
      <c r="D23" s="28"/>
      <c r="E23" s="28"/>
      <c r="F23" s="28"/>
      <c r="G23" s="28"/>
      <c r="H23" s="28"/>
      <c r="I23" s="28">
        <f>TRUNC(450*1.2^B23)</f>
        <v>450</v>
      </c>
      <c r="J23" s="28">
        <f>TRUNC(50*1.2^B23)</f>
        <v>50</v>
      </c>
      <c r="K23" s="28">
        <f>TRUNC(100*1.2^B23)</f>
        <v>100</v>
      </c>
      <c r="L23" s="28"/>
      <c r="M23" s="29">
        <f>IF((I23-$D$9)/$C$9&lt;0,0,(I23-$D$9)/$C$9)</f>
        <v>56.25</v>
      </c>
      <c r="N23" s="29">
        <f>IF((J23-$D$10)/$C$10&lt;0,0,(J23-$D$10)/$C$10)</f>
        <v>10</v>
      </c>
      <c r="O23" s="29">
        <f>IF((K23-$D$11)/$C$11&lt;0,0,(K23-$D$11)/$C$11)</f>
        <v>16.666666666666668</v>
      </c>
      <c r="P23" s="29">
        <f>MAX(M23,N23,O23)</f>
        <v>56.25</v>
      </c>
      <c r="Q23" s="29">
        <f>IF((I23-$E$9)/$C$9&lt;0,0,(I23-$E$9)/$C$9)</f>
        <v>56.25</v>
      </c>
      <c r="R23" s="29">
        <f>IF((J23-$E$10)/$C$10&lt;0,0,(J23-$E$10)/$C$10)</f>
        <v>10</v>
      </c>
      <c r="S23" s="29">
        <f>IF((K23-$E$11)/$C$11&lt;0,0,(K23-$E$11)/$C$11)</f>
        <v>16.666666666666668</v>
      </c>
      <c r="T23" s="29">
        <f>MAX(Q23,R23,S23)</f>
        <v>56.25</v>
      </c>
      <c r="U23" s="30">
        <f>$A$3+P23/24</f>
        <v>39115.289866203704</v>
      </c>
    </row>
    <row r="24" spans="1:21" ht="13.5" thickBot="1">
      <c r="A24" s="40" t="s">
        <v>22</v>
      </c>
      <c r="B24" s="62">
        <v>0</v>
      </c>
      <c r="C24" s="32"/>
      <c r="D24" s="32"/>
      <c r="E24" s="32"/>
      <c r="F24" s="32"/>
      <c r="G24" s="32"/>
      <c r="H24" s="32"/>
      <c r="I24" s="32">
        <f>TRUNC(1000*1.2^B24)</f>
        <v>1000</v>
      </c>
      <c r="J24" s="32">
        <f>TRUNC(500*1.2^B24)</f>
        <v>500</v>
      </c>
      <c r="K24" s="32">
        <f>TRUNC(800*1.2^B24)</f>
        <v>800</v>
      </c>
      <c r="L24" s="32"/>
      <c r="M24" s="33">
        <f>IF((I24-$D$9)/$C$9&lt;0,0,(I24-$D$9)/$C$9)</f>
        <v>125</v>
      </c>
      <c r="N24" s="33">
        <f>IF((J24-$D$10)/$C$10&lt;0,0,(J24-$D$10)/$C$10)</f>
        <v>100</v>
      </c>
      <c r="O24" s="33">
        <f>IF((K24-$D$11)/$C$11&lt;0,0,(K24-$D$11)/$C$11)</f>
        <v>133.33333333333334</v>
      </c>
      <c r="P24" s="33">
        <f>MAX(M24,N24,O24)</f>
        <v>133.33333333333334</v>
      </c>
      <c r="Q24" s="33">
        <f>IF((I24-$E$9)/$C$9&lt;0,0,(I24-$E$9)/$C$9)</f>
        <v>125</v>
      </c>
      <c r="R24" s="33">
        <f>IF((J24-$E$10)/$C$10&lt;0,0,(J24-$E$10)/$C$10)</f>
        <v>100</v>
      </c>
      <c r="S24" s="33">
        <f>IF((K24-$E$11)/$C$11&lt;0,0,(K24-$E$11)/$C$11)</f>
        <v>133.33333333333334</v>
      </c>
      <c r="T24" s="33">
        <f>MAX(Q24,R24,S24)</f>
        <v>133.33333333333334</v>
      </c>
      <c r="U24" s="34">
        <f>$A$3+P24/24</f>
        <v>39118.50167175926</v>
      </c>
    </row>
    <row r="25" spans="1:21" ht="13.5" thickBo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9"/>
      <c r="N25" s="49"/>
      <c r="O25" s="49"/>
      <c r="P25" s="49"/>
      <c r="Q25" s="49"/>
      <c r="R25" s="49"/>
      <c r="S25" s="49"/>
      <c r="T25" s="49"/>
      <c r="U25" s="50"/>
    </row>
    <row r="26" spans="1:21" ht="13.5" thickBot="1">
      <c r="A26" s="55" t="s">
        <v>38</v>
      </c>
      <c r="B26" s="52" t="s">
        <v>1</v>
      </c>
      <c r="C26" s="53" t="s">
        <v>24</v>
      </c>
      <c r="D26" s="53" t="s">
        <v>25</v>
      </c>
      <c r="E26" s="53"/>
      <c r="F26" s="53"/>
      <c r="G26" s="53"/>
      <c r="H26" s="53"/>
      <c r="I26" s="52" t="s">
        <v>5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2" t="s">
        <v>27</v>
      </c>
      <c r="U26" s="54" t="s">
        <v>7</v>
      </c>
    </row>
    <row r="27" spans="1:21" ht="12.75">
      <c r="A27" s="41" t="s">
        <v>23</v>
      </c>
      <c r="B27" s="60">
        <v>0</v>
      </c>
      <c r="C27" s="35">
        <v>10</v>
      </c>
      <c r="D27" s="35">
        <v>10</v>
      </c>
      <c r="E27" s="35"/>
      <c r="F27" s="35"/>
      <c r="G27" s="35"/>
      <c r="H27" s="35"/>
      <c r="I27" s="35">
        <v>50</v>
      </c>
      <c r="J27" s="35">
        <v>10</v>
      </c>
      <c r="K27" s="35">
        <v>0</v>
      </c>
      <c r="L27" s="35"/>
      <c r="M27" s="36">
        <f aca="true" t="shared" si="8" ref="M27:M35">IF((I27-$D$9)/$C$9&lt;0,0,(I27-$D$9)/$C$9)</f>
        <v>6.25</v>
      </c>
      <c r="N27" s="36">
        <f aca="true" t="shared" si="9" ref="N27:N35">IF((J27-$D$10)/$C$10&lt;0,0,(J27-$D$10)/$C$10)</f>
        <v>2</v>
      </c>
      <c r="O27" s="36">
        <f aca="true" t="shared" si="10" ref="O27:O35">IF((K27-$D$11)/$C$11&lt;0,0,(K27-$D$11)/$C$11)</f>
        <v>0</v>
      </c>
      <c r="P27" s="36">
        <f aca="true" t="shared" si="11" ref="P27:P35">MAX(M27,N27,O27)</f>
        <v>6.25</v>
      </c>
      <c r="Q27" s="36">
        <f aca="true" t="shared" si="12" ref="Q27:Q35">IF((I27-$E$9)/$C$9&lt;0,0,(I27-$E$9)/$C$9)</f>
        <v>6.25</v>
      </c>
      <c r="R27" s="36">
        <f aca="true" t="shared" si="13" ref="R27:R35">IF((J27-$E$10)/$C$10&lt;0,0,(J27-$E$10)/$C$10)</f>
        <v>2</v>
      </c>
      <c r="S27" s="36">
        <f aca="true" t="shared" si="14" ref="S27:S35">IF((K27-$E$11)/$C$11&lt;0,0,(K27-$E$11)/$C$11)</f>
        <v>0</v>
      </c>
      <c r="T27" s="36">
        <f aca="true" t="shared" si="15" ref="T27:T35">MAX(Q27,R27,S27)</f>
        <v>6.25</v>
      </c>
      <c r="U27" s="37">
        <f>$A$3+P27/24</f>
        <v>39113.20653287037</v>
      </c>
    </row>
    <row r="28" spans="1:21" ht="12.75">
      <c r="A28" s="39" t="s">
        <v>31</v>
      </c>
      <c r="B28" s="61">
        <v>0</v>
      </c>
      <c r="C28" s="28">
        <f>10+B20</f>
        <v>10</v>
      </c>
      <c r="D28" s="28">
        <f>20+B21</f>
        <v>20</v>
      </c>
      <c r="E28" s="28"/>
      <c r="F28" s="28"/>
      <c r="G28" s="28"/>
      <c r="H28" s="28"/>
      <c r="I28" s="28">
        <v>80</v>
      </c>
      <c r="J28" s="28">
        <v>10</v>
      </c>
      <c r="K28" s="28">
        <v>30</v>
      </c>
      <c r="L28" s="28"/>
      <c r="M28" s="29">
        <f t="shared" si="8"/>
        <v>10</v>
      </c>
      <c r="N28" s="29">
        <f t="shared" si="9"/>
        <v>2</v>
      </c>
      <c r="O28" s="29">
        <f t="shared" si="10"/>
        <v>5</v>
      </c>
      <c r="P28" s="29">
        <f t="shared" si="11"/>
        <v>10</v>
      </c>
      <c r="Q28" s="29">
        <f t="shared" si="12"/>
        <v>10</v>
      </c>
      <c r="R28" s="29">
        <f t="shared" si="13"/>
        <v>2</v>
      </c>
      <c r="S28" s="29">
        <f t="shared" si="14"/>
        <v>5</v>
      </c>
      <c r="T28" s="29">
        <f t="shared" si="15"/>
        <v>10</v>
      </c>
      <c r="U28" s="30">
        <f>$A$3+P28/24</f>
        <v>39113.36278287037</v>
      </c>
    </row>
    <row r="29" spans="1:21" ht="12.75">
      <c r="A29" s="39" t="s">
        <v>32</v>
      </c>
      <c r="B29" s="61">
        <v>0</v>
      </c>
      <c r="C29" s="28">
        <f>30+B23</f>
        <v>30</v>
      </c>
      <c r="D29" s="28">
        <v>20</v>
      </c>
      <c r="E29" s="28"/>
      <c r="F29" s="28"/>
      <c r="G29" s="28"/>
      <c r="H29" s="28"/>
      <c r="I29" s="28">
        <v>100</v>
      </c>
      <c r="J29" s="28">
        <v>30</v>
      </c>
      <c r="K29" s="28">
        <v>50</v>
      </c>
      <c r="L29" s="28"/>
      <c r="M29" s="29">
        <f t="shared" si="8"/>
        <v>12.5</v>
      </c>
      <c r="N29" s="29">
        <f t="shared" si="9"/>
        <v>6</v>
      </c>
      <c r="O29" s="29">
        <f t="shared" si="10"/>
        <v>8.333333333333334</v>
      </c>
      <c r="P29" s="29">
        <f t="shared" si="11"/>
        <v>12.5</v>
      </c>
      <c r="Q29" s="29">
        <f t="shared" si="12"/>
        <v>12.5</v>
      </c>
      <c r="R29" s="29">
        <f t="shared" si="13"/>
        <v>6</v>
      </c>
      <c r="S29" s="29">
        <f t="shared" si="14"/>
        <v>8.333333333333334</v>
      </c>
      <c r="T29" s="29">
        <f t="shared" si="15"/>
        <v>12.5</v>
      </c>
      <c r="U29" s="30">
        <f>$A$3+P29/24</f>
        <v>39113.46694953704</v>
      </c>
    </row>
    <row r="30" spans="1:21" ht="12.75">
      <c r="A30" s="39" t="s">
        <v>22</v>
      </c>
      <c r="B30" s="61">
        <v>0</v>
      </c>
      <c r="C30" s="28">
        <v>500</v>
      </c>
      <c r="D30" s="28">
        <v>250</v>
      </c>
      <c r="E30" s="28"/>
      <c r="F30" s="28"/>
      <c r="G30" s="28"/>
      <c r="H30" s="28"/>
      <c r="I30" s="28">
        <v>5000</v>
      </c>
      <c r="J30" s="28">
        <v>2500</v>
      </c>
      <c r="K30" s="28">
        <v>4000</v>
      </c>
      <c r="L30" s="28"/>
      <c r="M30" s="29">
        <f t="shared" si="8"/>
        <v>625</v>
      </c>
      <c r="N30" s="29">
        <f t="shared" si="9"/>
        <v>500</v>
      </c>
      <c r="O30" s="29">
        <f t="shared" si="10"/>
        <v>666.6666666666666</v>
      </c>
      <c r="P30" s="29">
        <f t="shared" si="11"/>
        <v>666.6666666666666</v>
      </c>
      <c r="Q30" s="29">
        <f t="shared" si="12"/>
        <v>625</v>
      </c>
      <c r="R30" s="29">
        <f t="shared" si="13"/>
        <v>500</v>
      </c>
      <c r="S30" s="29">
        <f t="shared" si="14"/>
        <v>666.6666666666666</v>
      </c>
      <c r="T30" s="29">
        <f t="shared" si="15"/>
        <v>666.6666666666666</v>
      </c>
      <c r="U30" s="30">
        <f>$A$3+P30/24</f>
        <v>39140.723893981485</v>
      </c>
    </row>
    <row r="31" spans="1:21" ht="12.75">
      <c r="A31" s="39" t="s">
        <v>33</v>
      </c>
      <c r="B31" s="61">
        <v>0</v>
      </c>
      <c r="C31" s="28">
        <v>50</v>
      </c>
      <c r="D31" s="28">
        <v>50</v>
      </c>
      <c r="E31" s="28"/>
      <c r="F31" s="28"/>
      <c r="G31" s="28"/>
      <c r="H31" s="28"/>
      <c r="I31" s="28">
        <v>450</v>
      </c>
      <c r="J31" s="28">
        <v>0</v>
      </c>
      <c r="K31" s="28">
        <v>300</v>
      </c>
      <c r="L31" s="28"/>
      <c r="M31" s="29">
        <f t="shared" si="8"/>
        <v>56.25</v>
      </c>
      <c r="N31" s="29">
        <f t="shared" si="9"/>
        <v>0</v>
      </c>
      <c r="O31" s="29">
        <f t="shared" si="10"/>
        <v>50</v>
      </c>
      <c r="P31" s="29">
        <f t="shared" si="11"/>
        <v>56.25</v>
      </c>
      <c r="Q31" s="29">
        <f t="shared" si="12"/>
        <v>56.25</v>
      </c>
      <c r="R31" s="29">
        <f t="shared" si="13"/>
        <v>0</v>
      </c>
      <c r="S31" s="29">
        <f t="shared" si="14"/>
        <v>50</v>
      </c>
      <c r="T31" s="29">
        <f t="shared" si="15"/>
        <v>56.25</v>
      </c>
      <c r="U31" s="30">
        <f>$A$3+P31/24</f>
        <v>39115.289866203704</v>
      </c>
    </row>
    <row r="32" spans="1:21" ht="12.75">
      <c r="A32" s="39" t="s">
        <v>34</v>
      </c>
      <c r="B32" s="61">
        <v>0</v>
      </c>
      <c r="C32" s="28">
        <v>10</v>
      </c>
      <c r="D32" s="28">
        <v>10</v>
      </c>
      <c r="E32" s="28"/>
      <c r="F32" s="28"/>
      <c r="G32" s="28"/>
      <c r="H32" s="28"/>
      <c r="I32" s="28">
        <v>300</v>
      </c>
      <c r="J32" s="28">
        <v>0</v>
      </c>
      <c r="K32" s="28">
        <v>300</v>
      </c>
      <c r="L32" s="28"/>
      <c r="M32" s="29">
        <f t="shared" si="8"/>
        <v>37.5</v>
      </c>
      <c r="N32" s="29">
        <f t="shared" si="9"/>
        <v>0</v>
      </c>
      <c r="O32" s="29">
        <f t="shared" si="10"/>
        <v>50</v>
      </c>
      <c r="P32" s="29">
        <f t="shared" si="11"/>
        <v>50</v>
      </c>
      <c r="Q32" s="29">
        <f t="shared" si="12"/>
        <v>37.5</v>
      </c>
      <c r="R32" s="29">
        <f t="shared" si="13"/>
        <v>0</v>
      </c>
      <c r="S32" s="29">
        <f t="shared" si="14"/>
        <v>50</v>
      </c>
      <c r="T32" s="29">
        <f t="shared" si="15"/>
        <v>50</v>
      </c>
      <c r="U32" s="30">
        <f>$A$3+P32/24</f>
        <v>39115.02944953704</v>
      </c>
    </row>
    <row r="33" spans="1:21" ht="12.75">
      <c r="A33" s="39" t="s">
        <v>35</v>
      </c>
      <c r="B33" s="61">
        <v>0</v>
      </c>
      <c r="C33" s="28">
        <v>100</v>
      </c>
      <c r="D33" s="28">
        <v>100</v>
      </c>
      <c r="E33" s="28"/>
      <c r="F33" s="28"/>
      <c r="G33" s="28"/>
      <c r="H33" s="28"/>
      <c r="I33" s="28">
        <v>900</v>
      </c>
      <c r="J33" s="28">
        <v>0</v>
      </c>
      <c r="K33" s="28">
        <v>800</v>
      </c>
      <c r="L33" s="28"/>
      <c r="M33" s="29">
        <f t="shared" si="8"/>
        <v>112.5</v>
      </c>
      <c r="N33" s="29">
        <f t="shared" si="9"/>
        <v>0</v>
      </c>
      <c r="O33" s="29">
        <f t="shared" si="10"/>
        <v>133.33333333333334</v>
      </c>
      <c r="P33" s="29">
        <f t="shared" si="11"/>
        <v>133.33333333333334</v>
      </c>
      <c r="Q33" s="29">
        <f t="shared" si="12"/>
        <v>112.5</v>
      </c>
      <c r="R33" s="29">
        <f t="shared" si="13"/>
        <v>0</v>
      </c>
      <c r="S33" s="29">
        <f t="shared" si="14"/>
        <v>133.33333333333334</v>
      </c>
      <c r="T33" s="29">
        <f t="shared" si="15"/>
        <v>133.33333333333334</v>
      </c>
      <c r="U33" s="30">
        <f>$A$3+P33/24</f>
        <v>39118.50167175926</v>
      </c>
    </row>
    <row r="34" spans="1:21" ht="12.75">
      <c r="A34" s="39" t="s">
        <v>36</v>
      </c>
      <c r="B34" s="61">
        <v>0</v>
      </c>
      <c r="C34" s="28">
        <v>20</v>
      </c>
      <c r="D34" s="28">
        <v>20</v>
      </c>
      <c r="E34" s="28"/>
      <c r="F34" s="28"/>
      <c r="G34" s="28"/>
      <c r="H34" s="28"/>
      <c r="I34" s="28">
        <v>600</v>
      </c>
      <c r="J34" s="28">
        <v>0</v>
      </c>
      <c r="K34" s="28">
        <v>750</v>
      </c>
      <c r="L34" s="28"/>
      <c r="M34" s="29">
        <f t="shared" si="8"/>
        <v>75</v>
      </c>
      <c r="N34" s="29">
        <f t="shared" si="9"/>
        <v>0</v>
      </c>
      <c r="O34" s="29">
        <f t="shared" si="10"/>
        <v>125</v>
      </c>
      <c r="P34" s="29">
        <f t="shared" si="11"/>
        <v>125</v>
      </c>
      <c r="Q34" s="29">
        <f t="shared" si="12"/>
        <v>75</v>
      </c>
      <c r="R34" s="29">
        <f t="shared" si="13"/>
        <v>0</v>
      </c>
      <c r="S34" s="29">
        <f t="shared" si="14"/>
        <v>125</v>
      </c>
      <c r="T34" s="29">
        <f t="shared" si="15"/>
        <v>125</v>
      </c>
      <c r="U34" s="30">
        <f>$A$3+P34/24</f>
        <v>39118.15444953704</v>
      </c>
    </row>
    <row r="35" spans="1:23" ht="13.5" thickBot="1">
      <c r="A35" s="40" t="s">
        <v>37</v>
      </c>
      <c r="B35" s="62">
        <v>0</v>
      </c>
      <c r="C35" s="32">
        <v>100</v>
      </c>
      <c r="D35" s="32">
        <v>100</v>
      </c>
      <c r="E35" s="32"/>
      <c r="F35" s="32"/>
      <c r="G35" s="32"/>
      <c r="H35" s="32"/>
      <c r="I35" s="32">
        <v>35000</v>
      </c>
      <c r="J35" s="32">
        <v>0</v>
      </c>
      <c r="K35" s="32">
        <v>30000</v>
      </c>
      <c r="L35" s="32"/>
      <c r="M35" s="33">
        <f t="shared" si="8"/>
        <v>4375</v>
      </c>
      <c r="N35" s="33">
        <f t="shared" si="9"/>
        <v>0</v>
      </c>
      <c r="O35" s="33">
        <f t="shared" si="10"/>
        <v>5000</v>
      </c>
      <c r="P35" s="33">
        <f t="shared" si="11"/>
        <v>5000</v>
      </c>
      <c r="Q35" s="33">
        <f t="shared" si="12"/>
        <v>4375</v>
      </c>
      <c r="R35" s="33">
        <f t="shared" si="13"/>
        <v>0</v>
      </c>
      <c r="S35" s="33">
        <f t="shared" si="14"/>
        <v>5000</v>
      </c>
      <c r="T35" s="33">
        <f t="shared" si="15"/>
        <v>5000</v>
      </c>
      <c r="U35" s="34">
        <f>$A$3+P35/24</f>
        <v>39321.27944953704</v>
      </c>
      <c r="W35" s="1"/>
    </row>
    <row r="36" ht="12.75">
      <c r="U36" s="1"/>
    </row>
    <row r="39" spans="3:4" ht="12.75">
      <c r="C39" s="2"/>
      <c r="D39" s="2"/>
    </row>
    <row r="40" spans="3:4" ht="12.75">
      <c r="C40" s="2"/>
      <c r="D40" s="2"/>
    </row>
    <row r="50" spans="9:11" ht="12.75">
      <c r="I50" s="2"/>
      <c r="J50" s="2"/>
      <c r="K50" s="2"/>
    </row>
    <row r="61" spans="9:11" ht="12.75">
      <c r="I61" s="2"/>
      <c r="J61" s="2"/>
      <c r="K61" s="2"/>
    </row>
    <row r="72" spans="9:11" ht="12.75">
      <c r="I72" s="2"/>
      <c r="J72" s="2"/>
      <c r="K72" s="2"/>
    </row>
    <row r="83" spans="9:11" ht="12.75">
      <c r="I83" s="2"/>
      <c r="J83" s="2"/>
      <c r="K83" s="2"/>
    </row>
  </sheetData>
  <sheetProtection sheet="1" objects="1" scenarios="1"/>
  <mergeCells count="1">
    <mergeCell ref="C2:D2"/>
  </mergeCell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2007-01-27T17:26:11Z</dcterms:created>
  <dcterms:modified xsi:type="dcterms:W3CDTF">2007-01-30T11:42:34Z</dcterms:modified>
  <cp:category/>
  <cp:version/>
  <cp:contentType/>
  <cp:contentStatus/>
</cp:coreProperties>
</file>